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alu-my.sharepoint.com/personal/cmaxwell_dal_ca/Documents/Organizations/NSGEU77/Communications/"/>
    </mc:Choice>
  </mc:AlternateContent>
  <xr:revisionPtr revIDLastSave="10" documentId="8_{F4D0F57F-8E32-904C-81FD-4BFDD34AEC64}" xr6:coauthVersionLast="47" xr6:coauthVersionMax="47" xr10:uidLastSave="{9842665A-C5A2-3C4E-8BA3-D8BEF5EF27B5}"/>
  <bookViews>
    <workbookView xWindow="36520" yWindow="1520" windowWidth="24440" windowHeight="17260" xr2:uid="{E16B3CB1-E890-C144-A7A3-958FEE6F863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1" i="1" l="1"/>
  <c r="R14" i="1"/>
  <c r="N14" i="1"/>
  <c r="L10" i="1"/>
  <c r="E9" i="1"/>
  <c r="E16" i="1" s="1"/>
  <c r="E17" i="1" s="1"/>
  <c r="F6" i="1"/>
  <c r="G6" i="1" s="1"/>
  <c r="F28" i="1" s="1"/>
  <c r="K28" i="1" l="1"/>
  <c r="L28" i="1"/>
  <c r="J28" i="1"/>
  <c r="M28" i="1"/>
  <c r="O28" i="1"/>
  <c r="G28" i="1"/>
  <c r="N28" i="1"/>
  <c r="F9" i="1"/>
  <c r="F12" i="1" s="1"/>
  <c r="F11" i="1"/>
  <c r="I28" i="1" l="1"/>
  <c r="H28" i="1"/>
  <c r="F13" i="1"/>
  <c r="F10" i="1"/>
  <c r="G9" i="1"/>
  <c r="F16" i="1"/>
  <c r="F19" i="1" s="1"/>
  <c r="F14" i="1" l="1"/>
  <c r="P28" i="1"/>
  <c r="Q28" i="1" s="1"/>
  <c r="F17" i="1"/>
  <c r="G16" i="1"/>
  <c r="F20" i="1" s="1"/>
  <c r="H19" i="1" l="1"/>
  <c r="R19" i="1"/>
  <c r="G14" i="1"/>
  <c r="J14" i="1"/>
  <c r="G17" i="1"/>
  <c r="F31" i="1" l="1"/>
  <c r="M31" i="1" s="1"/>
  <c r="F21" i="1"/>
  <c r="R15" i="1" s="1"/>
  <c r="H20" i="1"/>
  <c r="H21" i="1"/>
  <c r="J17" i="1"/>
  <c r="K31" i="1"/>
  <c r="F29" i="1"/>
  <c r="A29" i="1" s="1"/>
  <c r="L31" i="1" l="1"/>
  <c r="O31" i="1"/>
  <c r="J31" i="1"/>
  <c r="N31" i="1"/>
  <c r="G31" i="1"/>
  <c r="F30" i="1"/>
  <c r="O30" i="1" s="1"/>
  <c r="I31" i="1"/>
  <c r="H31" i="1"/>
  <c r="K30" i="1"/>
  <c r="J30" i="1"/>
  <c r="J29" i="1"/>
  <c r="M29" i="1"/>
  <c r="O29" i="1"/>
  <c r="L29" i="1"/>
  <c r="G29" i="1"/>
  <c r="N29" i="1"/>
  <c r="K29" i="1"/>
  <c r="N30" i="1" l="1"/>
  <c r="G30" i="1"/>
  <c r="I30" i="1" s="1"/>
  <c r="L30" i="1"/>
  <c r="M30" i="1"/>
  <c r="P31" i="1"/>
  <c r="Q31" i="1" s="1"/>
  <c r="F32" i="1" s="1"/>
  <c r="G32" i="1" s="1"/>
  <c r="H29" i="1"/>
  <c r="I29" i="1"/>
  <c r="H30" i="1"/>
  <c r="P30" i="1" l="1"/>
  <c r="Q30" i="1" s="1"/>
  <c r="P29" i="1"/>
  <c r="Q29" i="1" s="1"/>
  <c r="B29" i="1" s="1"/>
</calcChain>
</file>

<file path=xl/sharedStrings.xml><?xml version="1.0" encoding="utf-8"?>
<sst xmlns="http://schemas.openxmlformats.org/spreadsheetml/2006/main" count="48" uniqueCount="48">
  <si>
    <t>Pay on Jun 30, 2022</t>
  </si>
  <si>
    <t>Hours</t>
  </si>
  <si>
    <t>Base Rate Increase</t>
  </si>
  <si>
    <t>Hourly</t>
  </si>
  <si>
    <t>Annual</t>
  </si>
  <si>
    <t>New Base Salary</t>
  </si>
  <si>
    <t>Base Retro 2022/23</t>
  </si>
  <si>
    <t>YTD Salary</t>
  </si>
  <si>
    <t>Total Base Retro</t>
  </si>
  <si>
    <t>New Base Salary 2023-Jul_Sep</t>
  </si>
  <si>
    <t>Base Retro 2023-Jul_Sep</t>
  </si>
  <si>
    <t>Update Fields</t>
  </si>
  <si>
    <t>Result Fields</t>
  </si>
  <si>
    <t>Oct Retro Payment</t>
  </si>
  <si>
    <t>New 2022/23 Salary</t>
  </si>
  <si>
    <t>New 2023/24 Salary</t>
  </si>
  <si>
    <t>Retro 2023-Jul_Sep</t>
  </si>
  <si>
    <t>Total Economic Increase Retro</t>
  </si>
  <si>
    <t>Nov Retro Payment</t>
  </si>
  <si>
    <t>Monthly Gross</t>
  </si>
  <si>
    <t>Gross Salary Oct, 2023</t>
  </si>
  <si>
    <t>Gross Salary Nov, 2023</t>
  </si>
  <si>
    <t>Deductions:</t>
  </si>
  <si>
    <t>LTD</t>
  </si>
  <si>
    <t>Dal Pension</t>
  </si>
  <si>
    <t>Supp Pension</t>
  </si>
  <si>
    <t>CPP</t>
  </si>
  <si>
    <t>EI</t>
  </si>
  <si>
    <t>Gross Salary Jul, 2022</t>
  </si>
  <si>
    <t>Union</t>
  </si>
  <si>
    <t>1.66/$100</t>
  </si>
  <si>
    <t>NS Income Tax</t>
  </si>
  <si>
    <t>Fed Income Tax</t>
  </si>
  <si>
    <t>Total</t>
  </si>
  <si>
    <t>Net</t>
  </si>
  <si>
    <t>Retro Calculations Oct/Nov 2023</t>
  </si>
  <si>
    <t>(C4 and below enter 0.50, all others enter .22)</t>
  </si>
  <si>
    <t>NOTES:</t>
  </si>
  <si>
    <t>1) Does not cover Overtime, Standby, breaks in service, etc</t>
  </si>
  <si>
    <t>3) Does not handle C1 to C3 becoming C4, and T1 to T3 becoming C4.</t>
  </si>
  <si>
    <t>Gross Salary Dec, 2023</t>
  </si>
  <si>
    <t>Change in Takehome pay Sep to Dec, 2023</t>
  </si>
  <si>
    <t>Annualized</t>
  </si>
  <si>
    <t>Monthly</t>
  </si>
  <si>
    <t>Actual</t>
  </si>
  <si>
    <t xml:space="preserve">Difference </t>
  </si>
  <si>
    <t>Retro 1Jul22-30Jun23 3%</t>
  </si>
  <si>
    <t>2) Assumes: Oct Reg Sal pay is final result of Base+3%+2.5%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</si>
</sst>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2" x14ac:knownFonts="1">
    <font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63377788628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14" fontId="0" fillId="0" borderId="0" xfId="0" applyNumberFormat="1"/>
    <xf numFmtId="164" fontId="0" fillId="0" borderId="0" xfId="0" applyNumberFormat="1"/>
    <xf numFmtId="164" fontId="0" fillId="2" borderId="0" xfId="0" applyNumberFormat="1" applyFill="1"/>
    <xf numFmtId="0" fontId="0" fillId="3" borderId="0" xfId="0" applyFill="1"/>
    <xf numFmtId="0" fontId="0" fillId="4" borderId="0" xfId="0" applyFill="1"/>
    <xf numFmtId="164" fontId="0" fillId="4" borderId="0" xfId="0" applyNumberFormat="1" applyFill="1"/>
    <xf numFmtId="0" fontId="0" fillId="0" borderId="0" xfId="0" quotePrefix="1"/>
    <xf numFmtId="10" fontId="0" fillId="0" borderId="0" xfId="0" applyNumberFormat="1"/>
    <xf numFmtId="9" fontId="0" fillId="0" borderId="0" xfId="0" applyNumberFormat="1"/>
    <xf numFmtId="164" fontId="1" fillId="0" borderId="0" xfId="0" applyNumberFormat="1" applyFont="1"/>
    <xf numFmtId="0" fontId="0" fillId="0" borderId="0" xfId="0" applyFill="1"/>
    <xf numFmtId="164" fontId="0" fillId="0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263DD7-6141-A249-84D2-DEA76250A9E9}">
  <dimension ref="A2:U32"/>
  <sheetViews>
    <sheetView tabSelected="1" workbookViewId="0">
      <selection activeCell="M5" sqref="M5"/>
    </sheetView>
  </sheetViews>
  <sheetFormatPr baseColWidth="10" defaultRowHeight="16" x14ac:dyDescent="0.2"/>
  <sheetData>
    <row r="2" spans="2:18" x14ac:dyDescent="0.2">
      <c r="B2" t="s">
        <v>35</v>
      </c>
      <c r="L2" t="s">
        <v>37</v>
      </c>
    </row>
    <row r="3" spans="2:18" x14ac:dyDescent="0.2">
      <c r="M3" t="s">
        <v>38</v>
      </c>
    </row>
    <row r="4" spans="2:18" x14ac:dyDescent="0.2">
      <c r="B4" s="4" t="s">
        <v>11</v>
      </c>
      <c r="M4" t="s">
        <v>47</v>
      </c>
    </row>
    <row r="5" spans="2:18" x14ac:dyDescent="0.2">
      <c r="B5" s="5" t="s">
        <v>12</v>
      </c>
      <c r="E5" t="s">
        <v>3</v>
      </c>
      <c r="F5" t="s">
        <v>4</v>
      </c>
      <c r="G5" t="s">
        <v>19</v>
      </c>
      <c r="M5" t="s">
        <v>39</v>
      </c>
    </row>
    <row r="6" spans="2:18" x14ac:dyDescent="0.2">
      <c r="C6" t="s">
        <v>0</v>
      </c>
      <c r="E6" s="4">
        <v>30.06</v>
      </c>
      <c r="F6" s="2">
        <f>E6*E$7*52</f>
        <v>50801.399999999994</v>
      </c>
      <c r="G6" s="2">
        <f>F6/12</f>
        <v>4233.45</v>
      </c>
      <c r="M6" s="8"/>
    </row>
    <row r="7" spans="2:18" x14ac:dyDescent="0.2">
      <c r="C7" t="s">
        <v>1</v>
      </c>
      <c r="E7" s="4">
        <v>32.5</v>
      </c>
      <c r="F7" s="2"/>
    </row>
    <row r="8" spans="2:18" x14ac:dyDescent="0.2">
      <c r="C8" t="s">
        <v>2</v>
      </c>
      <c r="E8" s="4">
        <v>0.22</v>
      </c>
      <c r="F8" s="10" t="s">
        <v>36</v>
      </c>
    </row>
    <row r="9" spans="2:18" x14ac:dyDescent="0.2">
      <c r="C9" t="s">
        <v>5</v>
      </c>
      <c r="E9">
        <f>E6+E8</f>
        <v>30.279999999999998</v>
      </c>
      <c r="F9" s="2">
        <f>E9*E$7*52</f>
        <v>51173.2</v>
      </c>
      <c r="G9" s="2">
        <f>F9/12</f>
        <v>4264.4333333333334</v>
      </c>
    </row>
    <row r="10" spans="2:18" x14ac:dyDescent="0.2">
      <c r="C10" t="s">
        <v>6</v>
      </c>
      <c r="F10" s="2">
        <f>F9-F6</f>
        <v>371.80000000000291</v>
      </c>
      <c r="J10" s="1">
        <v>45108</v>
      </c>
      <c r="K10" s="1">
        <v>45199</v>
      </c>
      <c r="L10">
        <f>(K10-J10)/365</f>
        <v>0.24931506849315069</v>
      </c>
    </row>
    <row r="11" spans="2:18" x14ac:dyDescent="0.2">
      <c r="C11" t="s">
        <v>7</v>
      </c>
      <c r="F11" s="2">
        <f>F6*L10</f>
        <v>12665.554520547945</v>
      </c>
      <c r="J11" s="1">
        <v>44743</v>
      </c>
      <c r="K11" s="1">
        <v>45199</v>
      </c>
      <c r="L11">
        <f>(K11-J11)/365</f>
        <v>1.2493150684931507</v>
      </c>
    </row>
    <row r="12" spans="2:18" x14ac:dyDescent="0.2">
      <c r="C12" t="s">
        <v>9</v>
      </c>
      <c r="F12" s="2">
        <f>F9*L10</f>
        <v>12758.249863013698</v>
      </c>
    </row>
    <row r="13" spans="2:18" x14ac:dyDescent="0.2">
      <c r="C13" t="s">
        <v>10</v>
      </c>
      <c r="F13" s="2">
        <f>F12-F11</f>
        <v>92.695342465753129</v>
      </c>
    </row>
    <row r="14" spans="2:18" x14ac:dyDescent="0.2">
      <c r="C14" t="s">
        <v>8</v>
      </c>
      <c r="F14" s="3">
        <f>F13+F10</f>
        <v>464.49534246575604</v>
      </c>
      <c r="G14">
        <f>F14/G6</f>
        <v>0.10972028545648492</v>
      </c>
      <c r="H14" t="s">
        <v>13</v>
      </c>
      <c r="J14">
        <f>F14/G9</f>
        <v>0.10892311033097545</v>
      </c>
      <c r="N14">
        <f>466.9/6317.25</f>
        <v>7.3908741936760447E-2</v>
      </c>
      <c r="R14">
        <f>2691.38+478.87</f>
        <v>3170.25</v>
      </c>
    </row>
    <row r="15" spans="2:18" x14ac:dyDescent="0.2">
      <c r="R15" s="2">
        <f>R14/F21</f>
        <v>1.4106482823990278</v>
      </c>
    </row>
    <row r="16" spans="2:18" x14ac:dyDescent="0.2">
      <c r="C16" t="s">
        <v>14</v>
      </c>
      <c r="E16" s="2">
        <f>E9*1.03</f>
        <v>31.188399999999998</v>
      </c>
      <c r="F16" s="2">
        <f>F9*1.03</f>
        <v>52708.396000000001</v>
      </c>
      <c r="G16" s="2">
        <f>F16/12</f>
        <v>4392.3663333333334</v>
      </c>
    </row>
    <row r="17" spans="1:21" x14ac:dyDescent="0.2">
      <c r="C17" t="s">
        <v>15</v>
      </c>
      <c r="E17" s="2">
        <f>E16*1.025</f>
        <v>31.968109999999996</v>
      </c>
      <c r="F17" s="2">
        <f>F16*1.025</f>
        <v>54026.105899999995</v>
      </c>
      <c r="G17" s="2">
        <f>F17/12</f>
        <v>4502.1754916666659</v>
      </c>
      <c r="J17">
        <f>F14/G17</f>
        <v>0.10317130980911718</v>
      </c>
    </row>
    <row r="18" spans="1:21" x14ac:dyDescent="0.2">
      <c r="G18" t="s">
        <v>44</v>
      </c>
      <c r="H18" t="s">
        <v>45</v>
      </c>
    </row>
    <row r="19" spans="1:21" x14ac:dyDescent="0.2">
      <c r="C19" t="s">
        <v>46</v>
      </c>
      <c r="F19" s="2">
        <f>(F16-F9)*L11</f>
        <v>1917.9434958904153</v>
      </c>
      <c r="G19" s="4"/>
      <c r="H19" s="2">
        <f>G19-F19</f>
        <v>-1917.9434958904153</v>
      </c>
      <c r="R19" s="2">
        <f>2691/F19</f>
        <v>1.4030653174955445</v>
      </c>
    </row>
    <row r="20" spans="1:21" x14ac:dyDescent="0.2">
      <c r="C20" t="s">
        <v>16</v>
      </c>
      <c r="F20" s="2">
        <f>G16*2.5%*3</f>
        <v>329.42747500000002</v>
      </c>
      <c r="G20" s="4"/>
      <c r="H20" s="2">
        <f>G20-F20</f>
        <v>-329.42747500000002</v>
      </c>
      <c r="N20" s="8"/>
    </row>
    <row r="21" spans="1:21" x14ac:dyDescent="0.2">
      <c r="C21" t="s">
        <v>17</v>
      </c>
      <c r="F21" s="6">
        <f>SUM(F19:F20)</f>
        <v>2247.3709708904153</v>
      </c>
      <c r="H21" s="2">
        <f>SUM(H19:H20)</f>
        <v>-2247.3709708904153</v>
      </c>
      <c r="I21" t="s">
        <v>18</v>
      </c>
      <c r="N21" s="8"/>
    </row>
    <row r="22" spans="1:21" x14ac:dyDescent="0.2">
      <c r="F22" s="2"/>
      <c r="G22" s="11"/>
      <c r="H22" s="2"/>
      <c r="N22" s="8"/>
    </row>
    <row r="23" spans="1:21" x14ac:dyDescent="0.2">
      <c r="F23" s="2"/>
      <c r="G23" s="11"/>
      <c r="H23" s="2"/>
      <c r="N23" s="8"/>
    </row>
    <row r="24" spans="1:21" x14ac:dyDescent="0.2">
      <c r="F24" s="12"/>
      <c r="H24" s="2"/>
    </row>
    <row r="26" spans="1:21" x14ac:dyDescent="0.2">
      <c r="H26" t="s">
        <v>22</v>
      </c>
      <c r="J26" s="8">
        <v>1.9E-2</v>
      </c>
      <c r="K26" s="8">
        <v>6.0449999999999997E-2</v>
      </c>
      <c r="L26" s="9">
        <v>0.02</v>
      </c>
      <c r="M26" s="8">
        <v>5.9499999999999997E-2</v>
      </c>
      <c r="N26" s="7" t="s">
        <v>30</v>
      </c>
      <c r="O26" s="8">
        <v>1.2500000000000001E-2</v>
      </c>
    </row>
    <row r="27" spans="1:21" x14ac:dyDescent="0.2">
      <c r="F27" t="s">
        <v>43</v>
      </c>
      <c r="G27" t="s">
        <v>42</v>
      </c>
      <c r="H27" t="s">
        <v>31</v>
      </c>
      <c r="I27" t="s">
        <v>32</v>
      </c>
      <c r="J27" t="s">
        <v>23</v>
      </c>
      <c r="K27" t="s">
        <v>24</v>
      </c>
      <c r="L27" t="s">
        <v>25</v>
      </c>
      <c r="M27" t="s">
        <v>26</v>
      </c>
      <c r="N27" t="s">
        <v>27</v>
      </c>
      <c r="O27" t="s">
        <v>29</v>
      </c>
      <c r="P27" t="s">
        <v>33</v>
      </c>
      <c r="Q27" t="s">
        <v>34</v>
      </c>
    </row>
    <row r="28" spans="1:21" x14ac:dyDescent="0.2">
      <c r="C28" t="s">
        <v>28</v>
      </c>
      <c r="F28" s="2">
        <f>G6</f>
        <v>4233.45</v>
      </c>
      <c r="G28" s="2">
        <f>F28*12</f>
        <v>50801.399999999994</v>
      </c>
      <c r="H28" s="2">
        <f>((MIN(G28,29500) * 0.0879) +
(MAX(0,MIN(G28,59180)-29590) * 0.1495) +
(MAX(0,MIN(G28,93000)-59180) * 0.1667) +
(MAX(0,MIN(G28,150000)-93000) * 0.175))/12</f>
        <v>480.34619166666658</v>
      </c>
      <c r="I28" s="2">
        <f>((MIN(G28,53359) * 0.15) +
(MAX(0,MIN(G28,106717)-53359) * 0.205) +
(MAX(0,MIN(G28,165430)-106717) * 0.26) )/12</f>
        <v>635.01749999999993</v>
      </c>
      <c r="J28" s="2">
        <f>$F28*J$26</f>
        <v>80.435549999999992</v>
      </c>
      <c r="K28" s="2">
        <f>F28*K$26</f>
        <v>255.91205249999999</v>
      </c>
      <c r="L28" s="2">
        <f>F28*L$26</f>
        <v>84.668999999999997</v>
      </c>
      <c r="M28" s="2">
        <f>F28*0.0595</f>
        <v>251.89027499999997</v>
      </c>
      <c r="N28" s="2">
        <f>(F28/100)*1.66</f>
        <v>70.275269999999992</v>
      </c>
      <c r="O28" s="2">
        <f>F28*O$26</f>
        <v>52.918125000000003</v>
      </c>
      <c r="P28" s="6">
        <f>SUM(H28:O28)</f>
        <v>1911.4639641666665</v>
      </c>
      <c r="Q28" s="6">
        <f>F28-P28</f>
        <v>2321.9860358333335</v>
      </c>
      <c r="R28" s="2"/>
      <c r="S28" s="2"/>
      <c r="T28" s="2"/>
      <c r="U28" s="2"/>
    </row>
    <row r="29" spans="1:21" x14ac:dyDescent="0.2">
      <c r="A29">
        <f>F29/F28</f>
        <v>1.173196998696671</v>
      </c>
      <c r="B29">
        <f>Q29/Q28</f>
        <v>1.1492395418745196</v>
      </c>
      <c r="C29" t="s">
        <v>20</v>
      </c>
      <c r="F29" s="2">
        <f>G17+F14</f>
        <v>4966.670834132422</v>
      </c>
      <c r="G29" s="2">
        <f t="shared" ref="G29:G31" si="0">F29*12</f>
        <v>59600.05000958906</v>
      </c>
      <c r="H29" s="2">
        <f t="shared" ref="H29:H31" si="1">((MIN(G29,29500) * 0.0879) +
(MAX(0,MIN(G29,59180)-29590) * 0.1495) +
(MAX(0,MIN(G29,93000)-59180) * 0.1667) +
(MAX(0,MIN(G29,150000)-93000) * 0.175))/12</f>
        <v>590.56477804987469</v>
      </c>
      <c r="I29" s="2">
        <f t="shared" ref="I29:I30" si="2">((MIN(G29,53359) * 0.15) +
(MAX(0,MIN(G29,106717)-53359) * 0.205) +
(MAX(0,MIN(G29,165430)-106717) * 0.26) )/12</f>
        <v>773.60543766381306</v>
      </c>
      <c r="J29" s="2">
        <f>$F29*J$26</f>
        <v>94.366745848516018</v>
      </c>
      <c r="K29" s="2">
        <f>F29*K$26</f>
        <v>300.23525192330487</v>
      </c>
      <c r="L29" s="2">
        <f>F29*L$26</f>
        <v>99.333416682648448</v>
      </c>
      <c r="M29" s="2">
        <f>F29*0.0595</f>
        <v>295.51691463087911</v>
      </c>
      <c r="N29" s="2">
        <f>(F29/100)*1.66</f>
        <v>82.446735846598202</v>
      </c>
      <c r="O29" s="2">
        <f>F29*O$26</f>
        <v>62.083385426655276</v>
      </c>
      <c r="P29" s="6">
        <f>SUM(H29:O29)</f>
        <v>2298.1526660722898</v>
      </c>
      <c r="Q29" s="6">
        <f>F29-P29</f>
        <v>2668.5181680601322</v>
      </c>
    </row>
    <row r="30" spans="1:21" x14ac:dyDescent="0.2">
      <c r="C30" t="s">
        <v>21</v>
      </c>
      <c r="F30" s="2">
        <f>G17+F21</f>
        <v>6749.5464625570812</v>
      </c>
      <c r="G30" s="2">
        <f t="shared" si="0"/>
        <v>80994.557550684971</v>
      </c>
      <c r="H30" s="2">
        <f t="shared" si="1"/>
        <v>887.77014530826546</v>
      </c>
      <c r="I30" s="2">
        <f t="shared" si="2"/>
        <v>1139.0949414908682</v>
      </c>
      <c r="J30" s="2">
        <f>$F30*J$26</f>
        <v>128.24138278858453</v>
      </c>
      <c r="K30" s="2">
        <f>F30*K$26</f>
        <v>408.01008366157555</v>
      </c>
      <c r="L30" s="2">
        <f>F30*L$26</f>
        <v>134.99092925114164</v>
      </c>
      <c r="M30" s="2">
        <f>F30*0.0595</f>
        <v>401.59801452214629</v>
      </c>
      <c r="N30" s="2">
        <f>(F30/100)*1.66</f>
        <v>112.04247127844755</v>
      </c>
      <c r="O30" s="2">
        <f>F30*O$26</f>
        <v>84.369330781963527</v>
      </c>
      <c r="P30" s="6">
        <f>SUM(H30:O30)</f>
        <v>3296.1172990829928</v>
      </c>
      <c r="Q30" s="6">
        <f>F30-P30</f>
        <v>3453.4291634740885</v>
      </c>
    </row>
    <row r="31" spans="1:21" x14ac:dyDescent="0.2">
      <c r="C31" t="s">
        <v>40</v>
      </c>
      <c r="F31" s="2">
        <f>G17</f>
        <v>4502.1754916666659</v>
      </c>
      <c r="G31" s="2">
        <f t="shared" si="0"/>
        <v>54026.105899999995</v>
      </c>
      <c r="H31" s="2">
        <f t="shared" si="1"/>
        <v>520.52065267083333</v>
      </c>
      <c r="I31" s="2">
        <f t="shared" ref="I31" si="3">((MIN(G31,53359) * 0.15) +
(MAX(0,MIN(G31,106717)-53359) * 0.205) +
(MAX(0,MIN(G31,165430)-106717) * 0.26) )/12</f>
        <v>678.38389245833321</v>
      </c>
      <c r="J31" s="2">
        <f>$F31*J$26</f>
        <v>85.541334341666655</v>
      </c>
      <c r="K31" s="2">
        <f>F31*K$26</f>
        <v>272.15650847124994</v>
      </c>
      <c r="L31" s="2">
        <f>F31*L$26</f>
        <v>90.043509833333317</v>
      </c>
      <c r="M31" s="2">
        <f>F31*0.0595</f>
        <v>267.87944175416663</v>
      </c>
      <c r="N31" s="2">
        <f>(F31/100)*1.66</f>
        <v>74.736113161666651</v>
      </c>
      <c r="O31" s="2">
        <f>F31*O$26</f>
        <v>56.277193645833329</v>
      </c>
      <c r="P31" s="6">
        <f>SUM(H31:O31)</f>
        <v>2045.538646337083</v>
      </c>
      <c r="Q31" s="6">
        <f>F31-P31</f>
        <v>2456.6368453295827</v>
      </c>
    </row>
    <row r="32" spans="1:21" x14ac:dyDescent="0.2">
      <c r="C32" t="s">
        <v>41</v>
      </c>
      <c r="F32" s="6">
        <f>Q31-Q28</f>
        <v>134.65080949624917</v>
      </c>
      <c r="G32" s="6">
        <f>F32*12</f>
        <v>1615.80971395499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Maxwell</dc:creator>
  <cp:lastModifiedBy>Chris Maxwell</cp:lastModifiedBy>
  <dcterms:created xsi:type="dcterms:W3CDTF">2023-10-25T16:05:54Z</dcterms:created>
  <dcterms:modified xsi:type="dcterms:W3CDTF">2023-11-29T14:53:48Z</dcterms:modified>
</cp:coreProperties>
</file>